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<sst xmlns="http://schemas.openxmlformats.org/spreadsheetml/2006/main" count="160" uniqueCount="66">
  <si>
    <t>TRAM</t>
  </si>
  <si>
    <t>LGA</t>
  </si>
  <si>
    <t>Der.Ind (A-B)</t>
  </si>
  <si>
    <t>C-D</t>
  </si>
  <si>
    <t>E-F</t>
  </si>
  <si>
    <t>G-H</t>
  </si>
  <si>
    <t>M-N</t>
  </si>
  <si>
    <t>O-P</t>
  </si>
  <si>
    <t>Q-R</t>
  </si>
  <si>
    <t>I-J</t>
  </si>
  <si>
    <t>S-T</t>
  </si>
  <si>
    <t>U-V</t>
  </si>
  <si>
    <t>W-X</t>
  </si>
  <si>
    <t>Y-Z</t>
  </si>
  <si>
    <t>K-L</t>
  </si>
  <si>
    <t>Acometida</t>
  </si>
  <si>
    <t>Simultaneitat</t>
  </si>
  <si>
    <t xml:space="preserve">     mm2</t>
  </si>
  <si>
    <t xml:space="preserve">        A</t>
  </si>
  <si>
    <t xml:space="preserve">      cos j</t>
  </si>
  <si>
    <t xml:space="preserve">      kW</t>
  </si>
  <si>
    <t xml:space="preserve">        m</t>
  </si>
  <si>
    <t>Moments per AV=1%</t>
  </si>
  <si>
    <t>Trifasica</t>
  </si>
  <si>
    <t>kW.m=3*AV%*(K*s*V)*(V/100)/1000=3*1*(55.7*s*230)*(230/100)/1000=88.4*s</t>
  </si>
  <si>
    <t>Monofasica</t>
  </si>
  <si>
    <t>kW.m=AV%*(K*s*V)*(V/100)/1000=1*(55.7*s*230)*(230/100)/1000=29.4*s</t>
  </si>
  <si>
    <t>Momento 1%</t>
  </si>
  <si>
    <t>Cond.Tipus</t>
  </si>
  <si>
    <t>Cond.T.n.a</t>
  </si>
  <si>
    <t>Can.S.tub</t>
  </si>
  <si>
    <t>Can.C.tub enc.</t>
  </si>
  <si>
    <t>Can.C.tub vist</t>
  </si>
  <si>
    <t>Can.Enterrada</t>
  </si>
  <si>
    <t>Con.Neutre</t>
  </si>
  <si>
    <t>Con.Proteccio</t>
  </si>
  <si>
    <t>H07V-K</t>
  </si>
  <si>
    <t>450/750 V</t>
  </si>
  <si>
    <t>0.6/1 kV</t>
  </si>
  <si>
    <t>RST</t>
  </si>
  <si>
    <t>T</t>
  </si>
  <si>
    <t>R</t>
  </si>
  <si>
    <t>S</t>
  </si>
  <si>
    <t>Canal</t>
  </si>
  <si>
    <t>RZ1-K</t>
  </si>
  <si>
    <t>Aïllament (BT19,2,9)</t>
  </si>
  <si>
    <t>CGD</t>
  </si>
  <si>
    <t>Punts llum</t>
  </si>
  <si>
    <t>Potencia W</t>
  </si>
  <si>
    <t>PlantaBaixa</t>
  </si>
  <si>
    <t>Entreplanta</t>
  </si>
  <si>
    <t>Soterrani</t>
  </si>
  <si>
    <t>Exterior</t>
  </si>
  <si>
    <t>Emergencia</t>
  </si>
  <si>
    <t>Aparells</t>
  </si>
  <si>
    <t>Motors</t>
  </si>
  <si>
    <t>Endolls</t>
  </si>
  <si>
    <t>TOTAL</t>
  </si>
  <si>
    <t>Consum</t>
  </si>
  <si>
    <t>Punts*W</t>
  </si>
  <si>
    <t xml:space="preserve">  Fases</t>
  </si>
  <si>
    <t xml:space="preserve">     kW*m</t>
  </si>
  <si>
    <t xml:space="preserve"> %AUtot.</t>
  </si>
  <si>
    <t xml:space="preserve"> %AUpar.</t>
  </si>
  <si>
    <t>Pot.Instal.</t>
  </si>
  <si>
    <t>Tot.Pot.Instal.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</si>
</sst>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workbookViewId="0" topLeftCell="A1">
      <selection activeCell="A1" sqref="A1"/>
    </sheetView>
  </sheetViews>
  <sheetFormatPr defaultColWidth="11.421875" defaultRowHeight="12.75"/>
  <cols>
    <col min="5" max="5" width="9.140625" style="0" customWidth="1"/>
    <col min="6" max="6" width="12.421875" style="0" bestFit="1" customWidth="1"/>
    <col min="7" max="7" width="6.8515625" style="0" customWidth="1"/>
    <col min="8" max="8" width="7.7109375" style="0" customWidth="1"/>
    <col min="9" max="9" width="7.8515625" style="0" customWidth="1"/>
    <col min="10" max="10" width="9.140625" style="0" customWidth="1"/>
    <col min="12" max="13" width="8.57421875" style="0" customWidth="1"/>
  </cols>
  <sheetData>
    <row r="1" spans="2:12" ht="12.75">
      <c r="B1" t="s">
        <v>22</v>
      </c>
      <c r="K1" s="4"/>
      <c r="L1" s="2"/>
    </row>
    <row r="2" spans="2:12" ht="12.75">
      <c r="B2" t="s">
        <v>23</v>
      </c>
      <c r="C2" t="s">
        <v>24</v>
      </c>
      <c r="K2" s="4"/>
      <c r="L2" s="2"/>
    </row>
    <row r="3" spans="2:12" ht="12.75">
      <c r="B3" t="s">
        <v>25</v>
      </c>
      <c r="C3" t="s">
        <v>26</v>
      </c>
      <c r="K3" s="4"/>
      <c r="L3" s="2"/>
    </row>
    <row r="4" spans="1:25" ht="12.75">
      <c r="A4" t="s">
        <v>0</v>
      </c>
      <c r="B4" t="s">
        <v>16</v>
      </c>
      <c r="C4" t="s">
        <v>20</v>
      </c>
      <c r="D4" t="s">
        <v>64</v>
      </c>
      <c r="E4" t="s">
        <v>19</v>
      </c>
      <c r="F4" t="s">
        <v>18</v>
      </c>
      <c r="G4" t="s">
        <v>60</v>
      </c>
      <c r="H4" t="s">
        <v>17</v>
      </c>
      <c r="I4" t="s">
        <v>21</v>
      </c>
      <c r="J4" t="s">
        <v>61</v>
      </c>
      <c r="K4" s="4" t="s">
        <v>27</v>
      </c>
      <c r="L4" s="2" t="s">
        <v>63</v>
      </c>
      <c r="M4" t="s">
        <v>62</v>
      </c>
      <c r="N4" t="s">
        <v>28</v>
      </c>
      <c r="O4" t="s">
        <v>29</v>
      </c>
      <c r="P4" t="s">
        <v>30</v>
      </c>
      <c r="Q4" t="s">
        <v>31</v>
      </c>
      <c r="R4" t="s">
        <v>32</v>
      </c>
      <c r="S4" t="s">
        <v>33</v>
      </c>
      <c r="T4" t="s">
        <v>45</v>
      </c>
      <c r="U4" t="s">
        <v>34</v>
      </c>
      <c r="V4" t="s">
        <v>35</v>
      </c>
      <c r="W4" t="s">
        <v>41</v>
      </c>
      <c r="X4" t="s">
        <v>42</v>
      </c>
      <c r="Y4" t="s">
        <v>40</v>
      </c>
    </row>
    <row r="5" spans="1:21" ht="12.75">
      <c r="A5" t="s">
        <v>15</v>
      </c>
      <c r="B5">
        <v>100</v>
      </c>
      <c r="C5" s="1">
        <v>43.648</v>
      </c>
      <c r="D5" s="1"/>
      <c r="E5" s="2">
        <v>1</v>
      </c>
      <c r="F5" s="2">
        <f>(B5/100)*(C5*1000)/((3^0.5)*400*E5)</f>
        <v>63.000461373971966</v>
      </c>
      <c r="G5" s="3" t="s">
        <v>39</v>
      </c>
      <c r="H5">
        <v>16</v>
      </c>
      <c r="I5">
        <v>10</v>
      </c>
      <c r="J5" s="2">
        <f>C5*I5</f>
        <v>436.48</v>
      </c>
      <c r="K5" s="2">
        <f>88.4*H5</f>
        <v>1414.4</v>
      </c>
      <c r="L5" s="2">
        <f>J5/K5</f>
        <v>0.3085972850678733</v>
      </c>
      <c r="N5" t="s">
        <v>44</v>
      </c>
      <c r="O5" t="s">
        <v>38</v>
      </c>
      <c r="R5">
        <v>75</v>
      </c>
      <c r="T5">
        <v>0.5</v>
      </c>
      <c r="U5">
        <v>10</v>
      </c>
    </row>
    <row r="6" spans="1:21" ht="12.75">
      <c r="A6" t="s">
        <v>1</v>
      </c>
      <c r="B6">
        <v>100</v>
      </c>
      <c r="C6" s="1">
        <v>43.648</v>
      </c>
      <c r="D6" s="1"/>
      <c r="E6" s="2">
        <v>1</v>
      </c>
      <c r="F6" s="2">
        <f>(B6/100)*(C6*1000)/((3^0.5)*400*E6)</f>
        <v>63.000461373971966</v>
      </c>
      <c r="G6" s="3" t="s">
        <v>39</v>
      </c>
      <c r="H6">
        <v>16</v>
      </c>
      <c r="I6">
        <v>10</v>
      </c>
      <c r="J6" s="2">
        <f>C6*I6</f>
        <v>436.48</v>
      </c>
      <c r="K6" s="2">
        <f>88.4*H6</f>
        <v>1414.4</v>
      </c>
      <c r="L6" s="2">
        <f>J6/K6</f>
        <v>0.3085972850678733</v>
      </c>
      <c r="N6" t="s">
        <v>44</v>
      </c>
      <c r="O6" t="s">
        <v>38</v>
      </c>
      <c r="R6">
        <v>75</v>
      </c>
      <c r="T6">
        <v>0.5</v>
      </c>
      <c r="U6">
        <v>10</v>
      </c>
    </row>
    <row r="7" spans="1:21" ht="12.75">
      <c r="A7" t="s">
        <v>2</v>
      </c>
      <c r="B7">
        <v>100</v>
      </c>
      <c r="C7" s="1">
        <v>17.321</v>
      </c>
      <c r="D7" s="1"/>
      <c r="E7" s="2">
        <v>1</v>
      </c>
      <c r="F7" s="2">
        <v>25</v>
      </c>
      <c r="G7" t="s">
        <v>39</v>
      </c>
      <c r="H7">
        <v>16</v>
      </c>
      <c r="I7">
        <v>2</v>
      </c>
      <c r="J7" s="2">
        <f aca="true" t="shared" si="0" ref="J7:J17">C7*I7</f>
        <v>34.642</v>
      </c>
      <c r="K7" s="2">
        <f>88.4*H7</f>
        <v>1414.4</v>
      </c>
      <c r="L7" s="2">
        <f aca="true" t="shared" si="1" ref="L7:L17">J7/K7</f>
        <v>0.024492364253393666</v>
      </c>
      <c r="N7" t="s">
        <v>44</v>
      </c>
      <c r="O7" t="s">
        <v>38</v>
      </c>
      <c r="P7" t="s">
        <v>43</v>
      </c>
      <c r="R7">
        <v>75</v>
      </c>
      <c r="T7">
        <v>0.5</v>
      </c>
      <c r="U7">
        <v>10</v>
      </c>
    </row>
    <row r="8" spans="1:22" ht="12.75">
      <c r="A8" t="s">
        <v>46</v>
      </c>
      <c r="C8" s="1">
        <f>D31</f>
        <v>11.203999999999995</v>
      </c>
      <c r="D8" s="1"/>
      <c r="E8" s="2">
        <v>0.9</v>
      </c>
      <c r="F8" s="2">
        <f>(B7/100)*(C8*1000)/((3^0.5)*400*E8)+0.01</f>
        <v>17.978423377779347</v>
      </c>
      <c r="G8" t="s">
        <v>39</v>
      </c>
      <c r="H8">
        <v>6</v>
      </c>
      <c r="I8">
        <v>1</v>
      </c>
      <c r="J8" s="2">
        <f t="shared" si="0"/>
        <v>11.203999999999995</v>
      </c>
      <c r="K8" s="2">
        <f>88.4*H8</f>
        <v>530.4000000000001</v>
      </c>
      <c r="L8" s="2">
        <f t="shared" si="1"/>
        <v>0.021123680241327287</v>
      </c>
      <c r="R8">
        <v>25</v>
      </c>
      <c r="T8">
        <v>0.5</v>
      </c>
      <c r="U8">
        <f>H8</f>
        <v>6</v>
      </c>
      <c r="V8">
        <f>H8</f>
        <v>6</v>
      </c>
    </row>
    <row r="9" spans="1:25" ht="12.75">
      <c r="A9" t="s">
        <v>3</v>
      </c>
      <c r="B9">
        <v>100</v>
      </c>
      <c r="C9" s="1">
        <v>1.104</v>
      </c>
      <c r="D9" s="1">
        <f aca="true" t="shared" si="2" ref="D9:D14">(B9/100)*C9</f>
        <v>1.104</v>
      </c>
      <c r="E9" s="2">
        <v>0.85</v>
      </c>
      <c r="F9" s="2">
        <f>1.25*(B9/100)*(C9*1000)/((3^0.5)*400*E9)+0.01</f>
        <v>2.3533628572990692</v>
      </c>
      <c r="G9" t="s">
        <v>39</v>
      </c>
      <c r="H9">
        <v>6</v>
      </c>
      <c r="I9">
        <v>45</v>
      </c>
      <c r="J9" s="2">
        <f t="shared" si="0"/>
        <v>49.68000000000001</v>
      </c>
      <c r="K9" s="2">
        <f>88.4*H9</f>
        <v>530.4000000000001</v>
      </c>
      <c r="L9" s="2">
        <f t="shared" si="1"/>
        <v>0.09366515837104072</v>
      </c>
      <c r="M9" s="2">
        <f>$L$7+L9</f>
        <v>0.1181575226244344</v>
      </c>
      <c r="N9" t="s">
        <v>36</v>
      </c>
      <c r="O9" t="s">
        <v>37</v>
      </c>
      <c r="R9">
        <v>25</v>
      </c>
      <c r="T9">
        <v>0.5</v>
      </c>
      <c r="U9">
        <f aca="true" t="shared" si="3" ref="U9:U30">H9</f>
        <v>6</v>
      </c>
      <c r="V9">
        <f aca="true" t="shared" si="4" ref="V9:V30">H9</f>
        <v>6</v>
      </c>
      <c r="W9">
        <f aca="true" t="shared" si="5" ref="W9:W30">IF(OR(G9="RST",G9="R"),F9,0)</f>
        <v>2.3533628572990692</v>
      </c>
      <c r="X9">
        <f aca="true" t="shared" si="6" ref="X9:X30">IF(OR(G9="RST",G9="S"),F9,0)</f>
        <v>2.3533628572990692</v>
      </c>
      <c r="Y9">
        <f aca="true" t="shared" si="7" ref="Y9:Y30">IF(OR(G9="RST",G9="T"),F9,0)</f>
        <v>2.3533628572990692</v>
      </c>
    </row>
    <row r="10" spans="1:25" ht="12.75">
      <c r="A10" t="s">
        <v>4</v>
      </c>
      <c r="B10">
        <f>490*100/3450</f>
        <v>14.202898550724637</v>
      </c>
      <c r="C10" s="1">
        <v>3.45</v>
      </c>
      <c r="D10" s="1">
        <f t="shared" si="2"/>
        <v>0.49000000000000005</v>
      </c>
      <c r="E10" s="2">
        <v>1</v>
      </c>
      <c r="F10" s="2">
        <f>(B10/100)*(C10*1000)/(230*E10)+0.01</f>
        <v>2.1404347826086956</v>
      </c>
      <c r="G10" t="s">
        <v>40</v>
      </c>
      <c r="H10">
        <v>2.5</v>
      </c>
      <c r="I10">
        <v>25</v>
      </c>
      <c r="J10" s="2">
        <f t="shared" si="0"/>
        <v>86.25</v>
      </c>
      <c r="K10" s="2">
        <f aca="true" t="shared" si="8" ref="K10:K17">29.4*H10</f>
        <v>73.5</v>
      </c>
      <c r="L10" s="2">
        <f t="shared" si="1"/>
        <v>1.1734693877551021</v>
      </c>
      <c r="M10" s="2">
        <f>$L$7+L10</f>
        <v>1.1979617520084958</v>
      </c>
      <c r="N10" t="s">
        <v>36</v>
      </c>
      <c r="O10" t="s">
        <v>37</v>
      </c>
      <c r="R10">
        <v>25</v>
      </c>
      <c r="T10">
        <v>0.5</v>
      </c>
      <c r="U10">
        <f t="shared" si="3"/>
        <v>2.5</v>
      </c>
      <c r="V10">
        <f t="shared" si="4"/>
        <v>2.5</v>
      </c>
      <c r="W10">
        <f t="shared" si="5"/>
        <v>0</v>
      </c>
      <c r="X10">
        <f t="shared" si="6"/>
        <v>0</v>
      </c>
      <c r="Y10">
        <f t="shared" si="7"/>
        <v>2.1404347826086956</v>
      </c>
    </row>
    <row r="11" spans="1:25" ht="12.75">
      <c r="A11" t="s">
        <v>5</v>
      </c>
      <c r="B11">
        <f>490*100/3450</f>
        <v>14.202898550724637</v>
      </c>
      <c r="C11" s="1">
        <v>3.45</v>
      </c>
      <c r="D11" s="1">
        <f>(B11/100)*C11</f>
        <v>0.49000000000000005</v>
      </c>
      <c r="E11" s="2">
        <v>1</v>
      </c>
      <c r="F11" s="2">
        <f>(B11/100)*(C11*1000)/(230*E11)+0.01</f>
        <v>2.1404347826086956</v>
      </c>
      <c r="G11" t="s">
        <v>40</v>
      </c>
      <c r="H11">
        <v>2.5</v>
      </c>
      <c r="I11">
        <v>15</v>
      </c>
      <c r="J11" s="2">
        <f>C11*I11</f>
        <v>51.75</v>
      </c>
      <c r="K11" s="2">
        <f>29.4*H11</f>
        <v>73.5</v>
      </c>
      <c r="L11" s="2">
        <f>J11/K11</f>
        <v>0.7040816326530612</v>
      </c>
      <c r="M11" s="2">
        <f>$L$7+L11</f>
        <v>0.7285739969064549</v>
      </c>
      <c r="N11" t="s">
        <v>36</v>
      </c>
      <c r="O11" t="s">
        <v>37</v>
      </c>
      <c r="R11">
        <v>25</v>
      </c>
      <c r="T11">
        <v>0.5</v>
      </c>
      <c r="U11">
        <f>H11</f>
        <v>2.5</v>
      </c>
      <c r="V11">
        <f>H11</f>
        <v>2.5</v>
      </c>
      <c r="W11">
        <f>IF(OR(G11="RST",G11="R"),F11,0)</f>
        <v>0</v>
      </c>
      <c r="X11">
        <f>IF(OR(G11="RST",G11="S"),F11,0)</f>
        <v>0</v>
      </c>
      <c r="Y11">
        <f>IF(OR(G11="RST",G11="T"),F11,0)</f>
        <v>2.1404347826086956</v>
      </c>
    </row>
    <row r="12" spans="1:25" ht="12.75">
      <c r="A12" t="s">
        <v>9</v>
      </c>
      <c r="B12">
        <f>1500*100/3450</f>
        <v>43.47826086956522</v>
      </c>
      <c r="C12" s="1">
        <v>3.45</v>
      </c>
      <c r="D12" s="1">
        <f t="shared" si="2"/>
        <v>1.5</v>
      </c>
      <c r="E12" s="2">
        <v>1</v>
      </c>
      <c r="F12" s="2">
        <f>(B12/100)*(C12*1000)/(230*E12)+0.01</f>
        <v>6.531739130434782</v>
      </c>
      <c r="G12" t="s">
        <v>40</v>
      </c>
      <c r="H12">
        <v>2.5</v>
      </c>
      <c r="I12">
        <v>30</v>
      </c>
      <c r="J12" s="2">
        <f t="shared" si="0"/>
        <v>103.5</v>
      </c>
      <c r="K12" s="2">
        <f t="shared" si="8"/>
        <v>73.5</v>
      </c>
      <c r="L12" s="2">
        <f t="shared" si="1"/>
        <v>1.4081632653061225</v>
      </c>
      <c r="M12" s="2">
        <f aca="true" t="shared" si="9" ref="M12:M30">$L$7+L12</f>
        <v>1.432655629559516</v>
      </c>
      <c r="N12" t="s">
        <v>36</v>
      </c>
      <c r="O12" t="s">
        <v>37</v>
      </c>
      <c r="R12">
        <v>25</v>
      </c>
      <c r="T12">
        <v>0.5</v>
      </c>
      <c r="U12">
        <f t="shared" si="3"/>
        <v>2.5</v>
      </c>
      <c r="V12">
        <f t="shared" si="4"/>
        <v>2.5</v>
      </c>
      <c r="W12">
        <f t="shared" si="5"/>
        <v>0</v>
      </c>
      <c r="X12">
        <f t="shared" si="6"/>
        <v>0</v>
      </c>
      <c r="Y12">
        <f t="shared" si="7"/>
        <v>6.531739130434782</v>
      </c>
    </row>
    <row r="13" spans="1:25" ht="12.75">
      <c r="A13" t="s">
        <v>14</v>
      </c>
      <c r="B13">
        <f>490*100/3450</f>
        <v>14.202898550724637</v>
      </c>
      <c r="C13" s="1">
        <v>3.45</v>
      </c>
      <c r="D13" s="1">
        <f t="shared" si="2"/>
        <v>0.49000000000000005</v>
      </c>
      <c r="E13" s="2">
        <v>1</v>
      </c>
      <c r="F13" s="2">
        <f>(B13/100)*(C13*1000)/(230*E13)+0.01</f>
        <v>2.1404347826086956</v>
      </c>
      <c r="G13" t="s">
        <v>40</v>
      </c>
      <c r="H13">
        <v>2.5</v>
      </c>
      <c r="I13">
        <v>25</v>
      </c>
      <c r="J13" s="2">
        <f t="shared" si="0"/>
        <v>86.25</v>
      </c>
      <c r="K13" s="2">
        <f t="shared" si="8"/>
        <v>73.5</v>
      </c>
      <c r="L13" s="2">
        <f t="shared" si="1"/>
        <v>1.1734693877551021</v>
      </c>
      <c r="M13" s="2">
        <f t="shared" si="9"/>
        <v>1.1979617520084958</v>
      </c>
      <c r="N13" t="s">
        <v>36</v>
      </c>
      <c r="O13" t="s">
        <v>37</v>
      </c>
      <c r="R13">
        <v>25</v>
      </c>
      <c r="T13">
        <v>0.5</v>
      </c>
      <c r="U13">
        <f t="shared" si="3"/>
        <v>2.5</v>
      </c>
      <c r="V13">
        <f t="shared" si="4"/>
        <v>2.5</v>
      </c>
      <c r="W13">
        <f t="shared" si="5"/>
        <v>0</v>
      </c>
      <c r="X13">
        <f t="shared" si="6"/>
        <v>0</v>
      </c>
      <c r="Y13">
        <f t="shared" si="7"/>
        <v>2.1404347826086956</v>
      </c>
    </row>
    <row r="14" spans="1:25" ht="12.75">
      <c r="A14" t="s">
        <v>6</v>
      </c>
      <c r="B14">
        <v>100</v>
      </c>
      <c r="C14" s="1">
        <f>0.08+0.792</f>
        <v>0.872</v>
      </c>
      <c r="D14" s="1">
        <f t="shared" si="2"/>
        <v>0.872</v>
      </c>
      <c r="E14" s="2">
        <v>0.9</v>
      </c>
      <c r="F14" s="2">
        <f>(1.8*E14)*(B14/100)*(C14*1000)/230+0.01</f>
        <v>6.151913043478261</v>
      </c>
      <c r="G14" t="s">
        <v>41</v>
      </c>
      <c r="H14">
        <v>2.5</v>
      </c>
      <c r="I14">
        <v>30</v>
      </c>
      <c r="J14" s="2">
        <f t="shared" si="0"/>
        <v>26.16</v>
      </c>
      <c r="K14" s="2">
        <f t="shared" si="8"/>
        <v>73.5</v>
      </c>
      <c r="L14" s="2">
        <f t="shared" si="1"/>
        <v>0.35591836734693877</v>
      </c>
      <c r="M14" s="2">
        <f t="shared" si="9"/>
        <v>0.38041073160033245</v>
      </c>
      <c r="N14" t="s">
        <v>36</v>
      </c>
      <c r="O14" t="s">
        <v>37</v>
      </c>
      <c r="R14">
        <v>25</v>
      </c>
      <c r="T14">
        <v>0.5</v>
      </c>
      <c r="U14">
        <f t="shared" si="3"/>
        <v>2.5</v>
      </c>
      <c r="V14">
        <f t="shared" si="4"/>
        <v>2.5</v>
      </c>
      <c r="W14">
        <f t="shared" si="5"/>
        <v>6.151913043478261</v>
      </c>
      <c r="X14">
        <f t="shared" si="6"/>
        <v>0</v>
      </c>
      <c r="Y14">
        <f t="shared" si="7"/>
        <v>0</v>
      </c>
    </row>
    <row r="15" spans="1:25" ht="12.75">
      <c r="A15" t="s">
        <v>7</v>
      </c>
      <c r="B15">
        <v>100</v>
      </c>
      <c r="C15" s="1">
        <f>0.14+1.018</f>
        <v>1.158</v>
      </c>
      <c r="D15" s="1">
        <f aca="true" t="shared" si="10" ref="D15:D30">(B15/100)*C15</f>
        <v>1.158</v>
      </c>
      <c r="E15" s="2">
        <v>0.9</v>
      </c>
      <c r="F15" s="2">
        <f>(1.8*E15)*(B15/100)*(C15*1000)/230+0.01</f>
        <v>8.166347826086957</v>
      </c>
      <c r="G15" t="s">
        <v>41</v>
      </c>
      <c r="H15">
        <v>2.5</v>
      </c>
      <c r="I15">
        <v>45</v>
      </c>
      <c r="J15" s="2">
        <f t="shared" si="0"/>
        <v>52.11</v>
      </c>
      <c r="K15" s="2">
        <f t="shared" si="8"/>
        <v>73.5</v>
      </c>
      <c r="L15" s="2">
        <f t="shared" si="1"/>
        <v>0.7089795918367346</v>
      </c>
      <c r="M15" s="2">
        <f t="shared" si="9"/>
        <v>0.7334719560901283</v>
      </c>
      <c r="N15" t="s">
        <v>36</v>
      </c>
      <c r="O15" t="s">
        <v>37</v>
      </c>
      <c r="R15">
        <v>25</v>
      </c>
      <c r="T15">
        <v>0.5</v>
      </c>
      <c r="U15">
        <f t="shared" si="3"/>
        <v>2.5</v>
      </c>
      <c r="V15">
        <f t="shared" si="4"/>
        <v>2.5</v>
      </c>
      <c r="W15">
        <f t="shared" si="5"/>
        <v>8.166347826086957</v>
      </c>
      <c r="X15">
        <f t="shared" si="6"/>
        <v>0</v>
      </c>
      <c r="Y15">
        <f t="shared" si="7"/>
        <v>0</v>
      </c>
    </row>
    <row r="16" spans="1:25" ht="12.75">
      <c r="A16" t="s">
        <v>8</v>
      </c>
      <c r="B16">
        <v>100</v>
      </c>
      <c r="C16" s="1">
        <v>0.2</v>
      </c>
      <c r="D16" s="1">
        <f t="shared" si="10"/>
        <v>0.2</v>
      </c>
      <c r="E16" s="2">
        <v>0.9</v>
      </c>
      <c r="F16" s="2">
        <f>(1.8*E16)*(B16/100)*(C16*1000)/230+0.01</f>
        <v>1.4186956521739131</v>
      </c>
      <c r="G16" t="s">
        <v>41</v>
      </c>
      <c r="H16">
        <v>2.5</v>
      </c>
      <c r="I16">
        <v>20</v>
      </c>
      <c r="J16" s="2">
        <f t="shared" si="0"/>
        <v>4</v>
      </c>
      <c r="K16" s="2">
        <f t="shared" si="8"/>
        <v>73.5</v>
      </c>
      <c r="L16" s="2">
        <f t="shared" si="1"/>
        <v>0.05442176870748299</v>
      </c>
      <c r="M16" s="2">
        <f t="shared" si="9"/>
        <v>0.07891413296087665</v>
      </c>
      <c r="N16" t="s">
        <v>36</v>
      </c>
      <c r="O16" t="s">
        <v>37</v>
      </c>
      <c r="R16">
        <v>25</v>
      </c>
      <c r="T16">
        <v>0.5</v>
      </c>
      <c r="U16">
        <f t="shared" si="3"/>
        <v>2.5</v>
      </c>
      <c r="V16">
        <f t="shared" si="4"/>
        <v>2.5</v>
      </c>
      <c r="W16">
        <f t="shared" si="5"/>
        <v>1.4186956521739131</v>
      </c>
      <c r="X16">
        <f t="shared" si="6"/>
        <v>0</v>
      </c>
      <c r="Y16">
        <f t="shared" si="7"/>
        <v>0</v>
      </c>
    </row>
    <row r="17" spans="1:25" ht="12.75">
      <c r="A17" t="s">
        <v>10</v>
      </c>
      <c r="B17">
        <v>100</v>
      </c>
      <c r="C17" s="1">
        <v>1.172</v>
      </c>
      <c r="D17" s="1">
        <f t="shared" si="10"/>
        <v>1.172</v>
      </c>
      <c r="E17" s="2">
        <v>0.9</v>
      </c>
      <c r="F17" s="2">
        <f>(1.8*E17)*(B17/100)*(C17*1000)/230+0.01</f>
        <v>8.26495652173913</v>
      </c>
      <c r="G17" t="s">
        <v>42</v>
      </c>
      <c r="H17">
        <v>2.5</v>
      </c>
      <c r="I17">
        <v>35</v>
      </c>
      <c r="J17" s="2">
        <f t="shared" si="0"/>
        <v>41.019999999999996</v>
      </c>
      <c r="K17" s="2">
        <f t="shared" si="8"/>
        <v>73.5</v>
      </c>
      <c r="L17" s="2">
        <f t="shared" si="1"/>
        <v>0.5580952380952381</v>
      </c>
      <c r="M17" s="2">
        <f t="shared" si="9"/>
        <v>0.5825876023486317</v>
      </c>
      <c r="N17" t="s">
        <v>36</v>
      </c>
      <c r="O17" t="s">
        <v>37</v>
      </c>
      <c r="R17">
        <v>25</v>
      </c>
      <c r="T17">
        <v>0.5</v>
      </c>
      <c r="U17">
        <f t="shared" si="3"/>
        <v>2.5</v>
      </c>
      <c r="V17">
        <f t="shared" si="4"/>
        <v>2.5</v>
      </c>
      <c r="W17">
        <f t="shared" si="5"/>
        <v>0</v>
      </c>
      <c r="X17">
        <f t="shared" si="6"/>
        <v>8.26495652173913</v>
      </c>
      <c r="Y17">
        <f t="shared" si="7"/>
        <v>0</v>
      </c>
    </row>
    <row r="18" spans="1:25" ht="12.75">
      <c r="A18" t="s">
        <v>11</v>
      </c>
      <c r="B18">
        <v>100</v>
      </c>
      <c r="C18" s="1">
        <f>5*0.006</f>
        <v>0.03</v>
      </c>
      <c r="D18" s="1">
        <f t="shared" si="10"/>
        <v>0.03</v>
      </c>
      <c r="E18" s="2">
        <v>0.7</v>
      </c>
      <c r="F18" s="2">
        <f>(B18/100)*(C18*1000)/230+0.01</f>
        <v>0.14043478260869566</v>
      </c>
      <c r="G18" t="s">
        <v>42</v>
      </c>
      <c r="H18">
        <v>2.5</v>
      </c>
      <c r="I18">
        <v>20</v>
      </c>
      <c r="J18" s="2">
        <f aca="true" t="shared" si="11" ref="J18:J30">C18*I18</f>
        <v>0.6</v>
      </c>
      <c r="K18" s="2">
        <f aca="true" t="shared" si="12" ref="K18:K30">29.4*H18</f>
        <v>73.5</v>
      </c>
      <c r="L18" s="2">
        <f aca="true" t="shared" si="13" ref="L18:L30">J18/K18</f>
        <v>0.008163265306122448</v>
      </c>
      <c r="M18" s="2">
        <f t="shared" si="9"/>
        <v>0.03265562955951611</v>
      </c>
      <c r="N18" t="s">
        <v>36</v>
      </c>
      <c r="O18" t="s">
        <v>37</v>
      </c>
      <c r="R18">
        <v>25</v>
      </c>
      <c r="T18">
        <v>0.5</v>
      </c>
      <c r="U18">
        <f t="shared" si="3"/>
        <v>2.5</v>
      </c>
      <c r="V18">
        <f t="shared" si="4"/>
        <v>2.5</v>
      </c>
      <c r="W18">
        <f t="shared" si="5"/>
        <v>0</v>
      </c>
      <c r="X18">
        <f t="shared" si="6"/>
        <v>0.14043478260869566</v>
      </c>
      <c r="Y18">
        <f t="shared" si="7"/>
        <v>0</v>
      </c>
    </row>
    <row r="19" spans="1:25" ht="12.75">
      <c r="A19" t="s">
        <v>12</v>
      </c>
      <c r="B19">
        <v>100</v>
      </c>
      <c r="C19" s="1">
        <f>12*0.006</f>
        <v>0.07200000000000001</v>
      </c>
      <c r="D19" s="1">
        <f t="shared" si="10"/>
        <v>0.07200000000000001</v>
      </c>
      <c r="E19" s="2">
        <v>0.7</v>
      </c>
      <c r="F19" s="2">
        <f>(B19/100)*(C19*1000)/230+0.01</f>
        <v>0.32304347826086965</v>
      </c>
      <c r="G19" t="s">
        <v>42</v>
      </c>
      <c r="H19">
        <v>2.5</v>
      </c>
      <c r="I19">
        <v>35</v>
      </c>
      <c r="J19" s="2">
        <f t="shared" si="11"/>
        <v>2.5200000000000005</v>
      </c>
      <c r="K19" s="2">
        <f t="shared" si="12"/>
        <v>73.5</v>
      </c>
      <c r="L19" s="2">
        <f t="shared" si="13"/>
        <v>0.034285714285714294</v>
      </c>
      <c r="M19" s="2">
        <f t="shared" si="9"/>
        <v>0.058778078539107964</v>
      </c>
      <c r="N19" t="s">
        <v>36</v>
      </c>
      <c r="O19" t="s">
        <v>37</v>
      </c>
      <c r="R19">
        <v>25</v>
      </c>
      <c r="T19">
        <v>0.5</v>
      </c>
      <c r="U19">
        <f t="shared" si="3"/>
        <v>2.5</v>
      </c>
      <c r="V19">
        <f t="shared" si="4"/>
        <v>2.5</v>
      </c>
      <c r="W19">
        <f t="shared" si="5"/>
        <v>0</v>
      </c>
      <c r="X19">
        <f t="shared" si="6"/>
        <v>0.32304347826086965</v>
      </c>
      <c r="Y19">
        <f t="shared" si="7"/>
        <v>0</v>
      </c>
    </row>
    <row r="20" spans="1:25" ht="12.75">
      <c r="A20" t="s">
        <v>13</v>
      </c>
      <c r="B20">
        <v>100</v>
      </c>
      <c r="C20" s="1">
        <f>6*0.006</f>
        <v>0.036000000000000004</v>
      </c>
      <c r="D20" s="1">
        <f t="shared" si="10"/>
        <v>0.036000000000000004</v>
      </c>
      <c r="E20" s="2">
        <v>0.7</v>
      </c>
      <c r="F20" s="2">
        <f>(B20/100)*(C20*1000)/230+0.01</f>
        <v>0.16652173913043483</v>
      </c>
      <c r="G20" t="s">
        <v>42</v>
      </c>
      <c r="H20">
        <v>2.5</v>
      </c>
      <c r="I20">
        <v>35</v>
      </c>
      <c r="J20" s="2">
        <f t="shared" si="11"/>
        <v>1.2600000000000002</v>
      </c>
      <c r="K20" s="2">
        <f t="shared" si="12"/>
        <v>73.5</v>
      </c>
      <c r="L20" s="2">
        <f t="shared" si="13"/>
        <v>0.017142857142857147</v>
      </c>
      <c r="M20" s="2">
        <f t="shared" si="9"/>
        <v>0.04163522139625081</v>
      </c>
      <c r="N20" t="s">
        <v>36</v>
      </c>
      <c r="O20" t="s">
        <v>37</v>
      </c>
      <c r="P20" t="s">
        <v>43</v>
      </c>
      <c r="R20">
        <v>25</v>
      </c>
      <c r="T20">
        <v>0.5</v>
      </c>
      <c r="U20">
        <f t="shared" si="3"/>
        <v>2.5</v>
      </c>
      <c r="V20">
        <f t="shared" si="4"/>
        <v>2.5</v>
      </c>
      <c r="W20">
        <f t="shared" si="5"/>
        <v>0</v>
      </c>
      <c r="X20">
        <f t="shared" si="6"/>
        <v>0.16652173913043483</v>
      </c>
      <c r="Y20">
        <f t="shared" si="7"/>
        <v>0</v>
      </c>
    </row>
    <row r="21" spans="1:25" ht="12.75">
      <c r="A21" t="s">
        <v>3</v>
      </c>
      <c r="B21">
        <v>100</v>
      </c>
      <c r="C21" s="1">
        <v>0.368</v>
      </c>
      <c r="D21" s="1">
        <f t="shared" si="10"/>
        <v>0.368</v>
      </c>
      <c r="E21" s="2">
        <v>0.85</v>
      </c>
      <c r="F21" s="2">
        <f>1.25*(B21/100)*(C21*1000)/(230*E21)+0.01</f>
        <v>2.362941176470588</v>
      </c>
      <c r="G21" t="s">
        <v>41</v>
      </c>
      <c r="H21">
        <v>2.5</v>
      </c>
      <c r="I21">
        <v>20</v>
      </c>
      <c r="J21" s="2">
        <f t="shared" si="11"/>
        <v>7.359999999999999</v>
      </c>
      <c r="K21" s="2">
        <f t="shared" si="12"/>
        <v>73.5</v>
      </c>
      <c r="L21" s="2">
        <f t="shared" si="13"/>
        <v>0.1001360544217687</v>
      </c>
      <c r="M21" s="2">
        <f t="shared" si="9"/>
        <v>0.12462841867516238</v>
      </c>
      <c r="N21" t="s">
        <v>36</v>
      </c>
      <c r="O21" t="s">
        <v>37</v>
      </c>
      <c r="R21">
        <v>25</v>
      </c>
      <c r="T21">
        <v>0.5</v>
      </c>
      <c r="U21">
        <f t="shared" si="3"/>
        <v>2.5</v>
      </c>
      <c r="V21">
        <f t="shared" si="4"/>
        <v>2.5</v>
      </c>
      <c r="W21">
        <f t="shared" si="5"/>
        <v>2.362941176470588</v>
      </c>
      <c r="X21">
        <f t="shared" si="6"/>
        <v>0</v>
      </c>
      <c r="Y21">
        <f t="shared" si="7"/>
        <v>0</v>
      </c>
    </row>
    <row r="22" spans="1:25" ht="12.75">
      <c r="A22" t="s">
        <v>4</v>
      </c>
      <c r="B22">
        <v>100</v>
      </c>
      <c r="C22" s="1">
        <v>0.11</v>
      </c>
      <c r="D22" s="1">
        <f t="shared" si="10"/>
        <v>0.11</v>
      </c>
      <c r="E22" s="2">
        <v>0.85</v>
      </c>
      <c r="F22" s="2">
        <f>1.25*(B22/100)*(C22*1000)/(230*E22)+0.01</f>
        <v>0.7133248081841432</v>
      </c>
      <c r="G22" t="s">
        <v>41</v>
      </c>
      <c r="H22">
        <v>2.5</v>
      </c>
      <c r="I22">
        <v>15</v>
      </c>
      <c r="J22" s="2">
        <f t="shared" si="11"/>
        <v>1.65</v>
      </c>
      <c r="K22" s="2">
        <f t="shared" si="12"/>
        <v>73.5</v>
      </c>
      <c r="L22" s="2">
        <f t="shared" si="13"/>
        <v>0.022448979591836733</v>
      </c>
      <c r="M22" s="2">
        <f t="shared" si="9"/>
        <v>0.046941343845230396</v>
      </c>
      <c r="N22" t="s">
        <v>36</v>
      </c>
      <c r="O22" t="s">
        <v>37</v>
      </c>
      <c r="R22">
        <v>25</v>
      </c>
      <c r="T22">
        <v>0.5</v>
      </c>
      <c r="U22">
        <f t="shared" si="3"/>
        <v>2.5</v>
      </c>
      <c r="V22">
        <f t="shared" si="4"/>
        <v>2.5</v>
      </c>
      <c r="W22">
        <f t="shared" si="5"/>
        <v>0.7133248081841432</v>
      </c>
      <c r="X22">
        <f t="shared" si="6"/>
        <v>0</v>
      </c>
      <c r="Y22">
        <f t="shared" si="7"/>
        <v>0</v>
      </c>
    </row>
    <row r="23" spans="1:25" ht="12.75">
      <c r="A23" t="s">
        <v>5</v>
      </c>
      <c r="B23">
        <v>100</v>
      </c>
      <c r="C23" s="1">
        <v>0.11</v>
      </c>
      <c r="D23" s="1">
        <f t="shared" si="10"/>
        <v>0.11</v>
      </c>
      <c r="E23" s="2">
        <v>0.85</v>
      </c>
      <c r="F23" s="2">
        <f>1.25*(B23/100)*(C23*1000)/(230*E23)+0.01</f>
        <v>0.7133248081841432</v>
      </c>
      <c r="G23" t="s">
        <v>41</v>
      </c>
      <c r="H23">
        <v>2.5</v>
      </c>
      <c r="I23">
        <v>15</v>
      </c>
      <c r="J23" s="2">
        <f t="shared" si="11"/>
        <v>1.65</v>
      </c>
      <c r="K23" s="2">
        <f t="shared" si="12"/>
        <v>73.5</v>
      </c>
      <c r="L23" s="2">
        <f t="shared" si="13"/>
        <v>0.022448979591836733</v>
      </c>
      <c r="M23" s="2">
        <f t="shared" si="9"/>
        <v>0.046941343845230396</v>
      </c>
      <c r="N23" t="s">
        <v>36</v>
      </c>
      <c r="O23" t="s">
        <v>37</v>
      </c>
      <c r="R23">
        <v>25</v>
      </c>
      <c r="T23">
        <v>0.5</v>
      </c>
      <c r="U23">
        <f t="shared" si="3"/>
        <v>2.5</v>
      </c>
      <c r="V23">
        <f t="shared" si="4"/>
        <v>2.5</v>
      </c>
      <c r="W23">
        <f t="shared" si="5"/>
        <v>0.7133248081841432</v>
      </c>
      <c r="X23">
        <f t="shared" si="6"/>
        <v>0</v>
      </c>
      <c r="Y23">
        <f t="shared" si="7"/>
        <v>0</v>
      </c>
    </row>
    <row r="24" spans="1:25" ht="12.75">
      <c r="A24" t="s">
        <v>9</v>
      </c>
      <c r="B24">
        <v>100</v>
      </c>
      <c r="C24" s="1">
        <v>0.11</v>
      </c>
      <c r="D24" s="1">
        <f t="shared" si="10"/>
        <v>0.11</v>
      </c>
      <c r="E24" s="2">
        <v>0.85</v>
      </c>
      <c r="F24" s="2">
        <f>1.25*(B24/100)*(C24*1000)/(230*E24)+0.01</f>
        <v>0.7133248081841432</v>
      </c>
      <c r="G24" t="s">
        <v>41</v>
      </c>
      <c r="H24">
        <v>2.5</v>
      </c>
      <c r="I24">
        <v>15</v>
      </c>
      <c r="J24" s="2">
        <f t="shared" si="11"/>
        <v>1.65</v>
      </c>
      <c r="K24" s="2">
        <f t="shared" si="12"/>
        <v>73.5</v>
      </c>
      <c r="L24" s="2">
        <f t="shared" si="13"/>
        <v>0.022448979591836733</v>
      </c>
      <c r="M24" s="2">
        <f t="shared" si="9"/>
        <v>0.046941343845230396</v>
      </c>
      <c r="N24" t="s">
        <v>36</v>
      </c>
      <c r="O24" t="s">
        <v>37</v>
      </c>
      <c r="R24">
        <v>25</v>
      </c>
      <c r="T24">
        <v>0.5</v>
      </c>
      <c r="U24">
        <f t="shared" si="3"/>
        <v>2.5</v>
      </c>
      <c r="V24">
        <f t="shared" si="4"/>
        <v>2.5</v>
      </c>
      <c r="W24">
        <f t="shared" si="5"/>
        <v>0.7133248081841432</v>
      </c>
      <c r="X24">
        <f t="shared" si="6"/>
        <v>0</v>
      </c>
      <c r="Y24">
        <f t="shared" si="7"/>
        <v>0</v>
      </c>
    </row>
    <row r="25" spans="1:25" ht="12.75">
      <c r="A25" t="s">
        <v>14</v>
      </c>
      <c r="B25">
        <v>100</v>
      </c>
      <c r="C25" s="1">
        <v>0.45</v>
      </c>
      <c r="D25" s="1">
        <f t="shared" si="10"/>
        <v>0.45</v>
      </c>
      <c r="E25" s="2">
        <v>0.9</v>
      </c>
      <c r="F25" s="2">
        <f>(1.8*E25)*(B25/100)*(C25*1000)/230+0.01</f>
        <v>3.1795652173913043</v>
      </c>
      <c r="G25" t="s">
        <v>40</v>
      </c>
      <c r="H25">
        <v>2.5</v>
      </c>
      <c r="I25">
        <v>15</v>
      </c>
      <c r="J25" s="2">
        <f t="shared" si="11"/>
        <v>6.75</v>
      </c>
      <c r="K25" s="2">
        <f t="shared" si="12"/>
        <v>73.5</v>
      </c>
      <c r="L25" s="2">
        <f t="shared" si="13"/>
        <v>0.09183673469387756</v>
      </c>
      <c r="M25" s="2">
        <f t="shared" si="9"/>
        <v>0.11632909894727123</v>
      </c>
      <c r="N25" t="s">
        <v>36</v>
      </c>
      <c r="O25" t="s">
        <v>37</v>
      </c>
      <c r="R25">
        <v>25</v>
      </c>
      <c r="T25">
        <v>0.5</v>
      </c>
      <c r="U25">
        <f t="shared" si="3"/>
        <v>2.5</v>
      </c>
      <c r="V25">
        <f t="shared" si="4"/>
        <v>2.5</v>
      </c>
      <c r="W25">
        <f t="shared" si="5"/>
        <v>0</v>
      </c>
      <c r="X25">
        <f t="shared" si="6"/>
        <v>0</v>
      </c>
      <c r="Y25">
        <f t="shared" si="7"/>
        <v>3.1795652173913043</v>
      </c>
    </row>
    <row r="26" spans="1:25" ht="12.75">
      <c r="A26" t="s">
        <v>6</v>
      </c>
      <c r="B26">
        <v>100</v>
      </c>
      <c r="C26" s="1">
        <v>0.54</v>
      </c>
      <c r="D26" s="1">
        <f t="shared" si="10"/>
        <v>0.54</v>
      </c>
      <c r="E26" s="2">
        <v>0.9</v>
      </c>
      <c r="F26" s="2">
        <f>(1.8*E26)*(B26/100)*(C26*1000)/230+0.01</f>
        <v>3.8134782608695654</v>
      </c>
      <c r="G26" t="s">
        <v>40</v>
      </c>
      <c r="H26">
        <v>2.5</v>
      </c>
      <c r="I26">
        <v>20</v>
      </c>
      <c r="J26" s="2">
        <f t="shared" si="11"/>
        <v>10.8</v>
      </c>
      <c r="K26" s="2">
        <f t="shared" si="12"/>
        <v>73.5</v>
      </c>
      <c r="L26" s="2">
        <f t="shared" si="13"/>
        <v>0.1469387755102041</v>
      </c>
      <c r="M26" s="2">
        <f t="shared" si="9"/>
        <v>0.17143113976359775</v>
      </c>
      <c r="N26" t="s">
        <v>36</v>
      </c>
      <c r="O26" t="s">
        <v>37</v>
      </c>
      <c r="R26">
        <v>25</v>
      </c>
      <c r="T26">
        <v>0.5</v>
      </c>
      <c r="U26">
        <f t="shared" si="3"/>
        <v>2.5</v>
      </c>
      <c r="V26">
        <f t="shared" si="4"/>
        <v>2.5</v>
      </c>
      <c r="W26">
        <f t="shared" si="5"/>
        <v>0</v>
      </c>
      <c r="X26">
        <f t="shared" si="6"/>
        <v>0</v>
      </c>
      <c r="Y26">
        <f t="shared" si="7"/>
        <v>3.8134782608695654</v>
      </c>
    </row>
    <row r="27" spans="1:25" ht="12.75">
      <c r="A27" t="s">
        <v>7</v>
      </c>
      <c r="B27">
        <v>100</v>
      </c>
      <c r="C27" s="1">
        <v>0.504</v>
      </c>
      <c r="D27" s="1">
        <f t="shared" si="10"/>
        <v>0.504</v>
      </c>
      <c r="E27" s="2">
        <v>0.9</v>
      </c>
      <c r="F27" s="2">
        <f>(1.8*E27)*(B27/100)*(C27*1000)/230+0.01</f>
        <v>3.559913043478261</v>
      </c>
      <c r="G27" t="s">
        <v>42</v>
      </c>
      <c r="H27">
        <v>2.5</v>
      </c>
      <c r="I27">
        <v>25</v>
      </c>
      <c r="J27" s="2">
        <f t="shared" si="11"/>
        <v>12.6</v>
      </c>
      <c r="K27" s="2">
        <f t="shared" si="12"/>
        <v>73.5</v>
      </c>
      <c r="L27" s="2">
        <f t="shared" si="13"/>
        <v>0.17142857142857143</v>
      </c>
      <c r="M27" s="2">
        <f t="shared" si="9"/>
        <v>0.19592093568196509</v>
      </c>
      <c r="N27" t="s">
        <v>36</v>
      </c>
      <c r="O27" t="s">
        <v>37</v>
      </c>
      <c r="P27" t="s">
        <v>43</v>
      </c>
      <c r="R27">
        <v>25</v>
      </c>
      <c r="T27">
        <v>0.5</v>
      </c>
      <c r="U27">
        <f t="shared" si="3"/>
        <v>2.5</v>
      </c>
      <c r="V27">
        <f t="shared" si="4"/>
        <v>2.5</v>
      </c>
      <c r="W27">
        <f t="shared" si="5"/>
        <v>0</v>
      </c>
      <c r="X27">
        <f t="shared" si="6"/>
        <v>3.559913043478261</v>
      </c>
      <c r="Y27">
        <f t="shared" si="7"/>
        <v>0</v>
      </c>
    </row>
    <row r="28" spans="1:25" ht="12.75">
      <c r="A28" t="s">
        <v>8</v>
      </c>
      <c r="B28">
        <v>100</v>
      </c>
      <c r="C28" s="1">
        <v>0.558</v>
      </c>
      <c r="D28" s="1">
        <f t="shared" si="10"/>
        <v>0.558</v>
      </c>
      <c r="E28" s="2">
        <v>0.9</v>
      </c>
      <c r="F28" s="2">
        <f>(1.8*E28)*(B28/100)*(C28*1000)/230+0.01</f>
        <v>3.9402608695652175</v>
      </c>
      <c r="G28" t="s">
        <v>42</v>
      </c>
      <c r="H28">
        <v>2.5</v>
      </c>
      <c r="I28">
        <v>30</v>
      </c>
      <c r="J28" s="2">
        <f t="shared" si="11"/>
        <v>16.740000000000002</v>
      </c>
      <c r="K28" s="2">
        <f t="shared" si="12"/>
        <v>73.5</v>
      </c>
      <c r="L28" s="2">
        <f t="shared" si="13"/>
        <v>0.22775510204081637</v>
      </c>
      <c r="M28" s="2">
        <f t="shared" si="9"/>
        <v>0.25224746629421</v>
      </c>
      <c r="N28" t="s">
        <v>36</v>
      </c>
      <c r="O28" t="s">
        <v>37</v>
      </c>
      <c r="P28" t="s">
        <v>43</v>
      </c>
      <c r="R28">
        <v>25</v>
      </c>
      <c r="T28">
        <v>0.5</v>
      </c>
      <c r="U28">
        <f t="shared" si="3"/>
        <v>2.5</v>
      </c>
      <c r="V28">
        <f t="shared" si="4"/>
        <v>2.5</v>
      </c>
      <c r="W28">
        <f t="shared" si="5"/>
        <v>0</v>
      </c>
      <c r="X28">
        <f t="shared" si="6"/>
        <v>3.9402608695652175</v>
      </c>
      <c r="Y28">
        <f t="shared" si="7"/>
        <v>0</v>
      </c>
    </row>
    <row r="29" spans="1:25" ht="12.75">
      <c r="A29" t="s">
        <v>10</v>
      </c>
      <c r="B29">
        <v>100</v>
      </c>
      <c r="C29" s="1">
        <v>0.36</v>
      </c>
      <c r="D29" s="1">
        <f t="shared" si="10"/>
        <v>0.36</v>
      </c>
      <c r="E29" s="2">
        <v>0.9</v>
      </c>
      <c r="F29" s="2">
        <f>(1.8*E29)*(B29/100)*(C29*1000)/230+0.01</f>
        <v>2.5456521739130435</v>
      </c>
      <c r="G29" t="s">
        <v>42</v>
      </c>
      <c r="H29">
        <v>2.5</v>
      </c>
      <c r="I29">
        <v>35</v>
      </c>
      <c r="J29" s="2">
        <f t="shared" si="11"/>
        <v>12.6</v>
      </c>
      <c r="K29" s="2">
        <f t="shared" si="12"/>
        <v>73.5</v>
      </c>
      <c r="L29" s="2">
        <f t="shared" si="13"/>
        <v>0.17142857142857143</v>
      </c>
      <c r="M29" s="2">
        <f t="shared" si="9"/>
        <v>0.19592093568196509</v>
      </c>
      <c r="N29" t="s">
        <v>36</v>
      </c>
      <c r="O29" t="s">
        <v>37</v>
      </c>
      <c r="P29" t="s">
        <v>43</v>
      </c>
      <c r="R29">
        <v>25</v>
      </c>
      <c r="T29">
        <v>0.5</v>
      </c>
      <c r="U29">
        <f t="shared" si="3"/>
        <v>2.5</v>
      </c>
      <c r="V29">
        <f t="shared" si="4"/>
        <v>2.5</v>
      </c>
      <c r="W29">
        <f t="shared" si="5"/>
        <v>0</v>
      </c>
      <c r="X29">
        <f t="shared" si="6"/>
        <v>2.5456521739130435</v>
      </c>
      <c r="Y29">
        <f t="shared" si="7"/>
        <v>0</v>
      </c>
    </row>
    <row r="30" spans="1:25" ht="12.75">
      <c r="A30" t="s">
        <v>11</v>
      </c>
      <c r="B30">
        <f>480*100/3450</f>
        <v>13.91304347826087</v>
      </c>
      <c r="C30" s="1">
        <v>3.45</v>
      </c>
      <c r="D30" s="1">
        <f t="shared" si="10"/>
        <v>0.48000000000000004</v>
      </c>
      <c r="E30" s="2">
        <v>1</v>
      </c>
      <c r="F30" s="2">
        <f>(B30/100)*(C30*1000)/(230*E30)+0.01</f>
        <v>2.09695652173913</v>
      </c>
      <c r="G30" t="s">
        <v>40</v>
      </c>
      <c r="H30">
        <v>2.5</v>
      </c>
      <c r="I30">
        <v>30</v>
      </c>
      <c r="J30" s="2">
        <f t="shared" si="11"/>
        <v>103.5</v>
      </c>
      <c r="K30" s="2">
        <f t="shared" si="12"/>
        <v>73.5</v>
      </c>
      <c r="L30" s="2">
        <f t="shared" si="13"/>
        <v>1.4081632653061225</v>
      </c>
      <c r="M30" s="2">
        <f t="shared" si="9"/>
        <v>1.432655629559516</v>
      </c>
      <c r="N30" t="s">
        <v>36</v>
      </c>
      <c r="O30" t="s">
        <v>37</v>
      </c>
      <c r="P30" t="s">
        <v>43</v>
      </c>
      <c r="R30">
        <v>25</v>
      </c>
      <c r="T30">
        <v>0.5</v>
      </c>
      <c r="U30">
        <f t="shared" si="3"/>
        <v>2.5</v>
      </c>
      <c r="V30">
        <f t="shared" si="4"/>
        <v>2.5</v>
      </c>
      <c r="W30">
        <f t="shared" si="5"/>
        <v>0</v>
      </c>
      <c r="X30">
        <f t="shared" si="6"/>
        <v>0</v>
      </c>
      <c r="Y30">
        <f t="shared" si="7"/>
        <v>2.09695652173913</v>
      </c>
    </row>
    <row r="31" spans="1:25" ht="12.75">
      <c r="A31" t="s">
        <v>65</v>
      </c>
      <c r="C31" s="1"/>
      <c r="D31" s="1">
        <f>SUM(D9:D30)</f>
        <v>11.203999999999995</v>
      </c>
      <c r="E31" s="2"/>
      <c r="W31" s="1">
        <f>SUM(W9:W30)</f>
        <v>22.593234980061222</v>
      </c>
      <c r="X31" s="1">
        <f>SUM(X9:X30)</f>
        <v>21.29414546599472</v>
      </c>
      <c r="Y31" s="1">
        <f>SUM(Y9:Y30)</f>
        <v>24.396406335559938</v>
      </c>
    </row>
    <row r="32" spans="2:23" ht="12.75">
      <c r="B32" t="s">
        <v>47</v>
      </c>
      <c r="C32" s="1" t="s">
        <v>48</v>
      </c>
      <c r="D32" s="1" t="s">
        <v>59</v>
      </c>
      <c r="E32" s="2"/>
      <c r="W32" s="1"/>
    </row>
    <row r="33" spans="1:23" ht="12.75">
      <c r="A33" t="s">
        <v>6</v>
      </c>
      <c r="B33">
        <v>2</v>
      </c>
      <c r="C33" s="1">
        <v>40</v>
      </c>
      <c r="D33" s="1">
        <f>B33*C33</f>
        <v>80</v>
      </c>
      <c r="E33" s="2"/>
      <c r="W33" s="1"/>
    </row>
    <row r="34" spans="2:23" ht="12.75">
      <c r="B34">
        <v>22</v>
      </c>
      <c r="C34" s="1">
        <v>36</v>
      </c>
      <c r="D34" s="1">
        <f>B34*C34</f>
        <v>792</v>
      </c>
      <c r="E34" s="2"/>
      <c r="W34" s="1"/>
    </row>
    <row r="35" spans="3:23" ht="12.75">
      <c r="C35" s="1">
        <f>SUM(D33:D34)</f>
        <v>872</v>
      </c>
      <c r="D35" s="1"/>
      <c r="E35" s="2"/>
      <c r="W35" s="1"/>
    </row>
    <row r="36" spans="1:12" ht="12.75">
      <c r="A36" t="s">
        <v>7</v>
      </c>
      <c r="B36">
        <v>2</v>
      </c>
      <c r="C36" s="1">
        <v>70</v>
      </c>
      <c r="D36" s="1">
        <f>B36*C36</f>
        <v>140</v>
      </c>
      <c r="E36" s="2"/>
      <c r="K36" s="4"/>
      <c r="L36" s="2"/>
    </row>
    <row r="37" spans="2:12" ht="12.75">
      <c r="B37">
        <v>13</v>
      </c>
      <c r="C37" s="1">
        <v>36</v>
      </c>
      <c r="D37" s="1">
        <f aca="true" t="shared" si="14" ref="D37:D45">B37*C37</f>
        <v>468</v>
      </c>
      <c r="E37" s="2"/>
      <c r="K37" s="4"/>
      <c r="L37" s="2"/>
    </row>
    <row r="38" spans="2:12" ht="12.75">
      <c r="B38">
        <v>2</v>
      </c>
      <c r="C38" s="1">
        <f>2*36</f>
        <v>72</v>
      </c>
      <c r="D38" s="1">
        <f t="shared" si="14"/>
        <v>144</v>
      </c>
      <c r="E38" s="2"/>
      <c r="K38" s="4"/>
      <c r="L38" s="2"/>
    </row>
    <row r="39" spans="2:12" ht="12.75">
      <c r="B39">
        <v>2</v>
      </c>
      <c r="C39" s="1">
        <f>2*58</f>
        <v>116</v>
      </c>
      <c r="D39" s="1">
        <f t="shared" si="14"/>
        <v>232</v>
      </c>
      <c r="E39" s="2"/>
      <c r="K39" s="4"/>
      <c r="L39" s="2"/>
    </row>
    <row r="40" spans="2:12" ht="12.75">
      <c r="B40">
        <v>5</v>
      </c>
      <c r="C40" s="1">
        <v>18</v>
      </c>
      <c r="D40" s="1">
        <f t="shared" si="14"/>
        <v>90</v>
      </c>
      <c r="E40" s="2"/>
      <c r="K40" s="4"/>
      <c r="L40" s="2"/>
    </row>
    <row r="41" spans="2:12" ht="12.75">
      <c r="B41">
        <v>1</v>
      </c>
      <c r="C41" s="1">
        <v>6</v>
      </c>
      <c r="D41" s="1">
        <f t="shared" si="14"/>
        <v>6</v>
      </c>
      <c r="E41" s="2"/>
      <c r="K41" s="4"/>
      <c r="L41" s="2"/>
    </row>
    <row r="42" spans="2:12" ht="12.75">
      <c r="B42">
        <v>6</v>
      </c>
      <c r="C42" s="1">
        <v>13</v>
      </c>
      <c r="D42" s="1">
        <f t="shared" si="14"/>
        <v>78</v>
      </c>
      <c r="E42" s="2"/>
      <c r="K42" s="4"/>
      <c r="L42" s="2"/>
    </row>
    <row r="43" spans="3:12" ht="12.75">
      <c r="C43" s="1">
        <f>SUM(D36:D42)</f>
        <v>1158</v>
      </c>
      <c r="D43" s="1"/>
      <c r="E43" s="2"/>
      <c r="K43" s="4"/>
      <c r="L43" s="2"/>
    </row>
    <row r="44" spans="1:12" ht="12.75">
      <c r="A44" t="s">
        <v>10</v>
      </c>
      <c r="B44">
        <v>14</v>
      </c>
      <c r="C44" s="1">
        <v>58</v>
      </c>
      <c r="D44" s="1">
        <f t="shared" si="14"/>
        <v>812</v>
      </c>
      <c r="E44" s="2"/>
      <c r="K44" s="4"/>
      <c r="L44" s="2"/>
    </row>
    <row r="45" spans="2:12" ht="12.75">
      <c r="B45">
        <v>5</v>
      </c>
      <c r="C45" s="1">
        <f>2*36</f>
        <v>72</v>
      </c>
      <c r="D45" s="1">
        <f t="shared" si="14"/>
        <v>360</v>
      </c>
      <c r="E45" s="2"/>
      <c r="K45" s="4"/>
      <c r="L45" s="2"/>
    </row>
    <row r="46" spans="3:12" ht="12.75">
      <c r="C46" s="1">
        <f>SUM(D44:D45)</f>
        <v>1172</v>
      </c>
      <c r="D46" s="1"/>
      <c r="E46" s="2"/>
      <c r="K46" s="4"/>
      <c r="L46" s="2"/>
    </row>
    <row r="47" spans="1:12" ht="12.75">
      <c r="A47" t="s">
        <v>14</v>
      </c>
      <c r="B47">
        <v>12</v>
      </c>
      <c r="C47" s="1">
        <v>36</v>
      </c>
      <c r="D47" s="1">
        <f>B47*C47</f>
        <v>432</v>
      </c>
      <c r="E47" s="2"/>
      <c r="K47" s="4"/>
      <c r="L47" s="2"/>
    </row>
    <row r="48" spans="2:12" ht="12.75">
      <c r="B48">
        <v>1</v>
      </c>
      <c r="C48" s="1">
        <v>18</v>
      </c>
      <c r="D48" s="1">
        <f>B48*C48</f>
        <v>18</v>
      </c>
      <c r="E48" s="2"/>
      <c r="K48" s="4"/>
      <c r="L48" s="2"/>
    </row>
    <row r="49" spans="3:12" ht="12.75">
      <c r="C49" s="1">
        <f>SUM(D47:D48)</f>
        <v>450</v>
      </c>
      <c r="D49" s="1"/>
      <c r="E49" s="2"/>
      <c r="K49" s="4"/>
      <c r="L49" s="2"/>
    </row>
    <row r="50" spans="1:12" ht="12.75">
      <c r="A50" t="s">
        <v>6</v>
      </c>
      <c r="B50">
        <v>30</v>
      </c>
      <c r="C50" s="1">
        <v>18</v>
      </c>
      <c r="D50" s="1">
        <f>B50*C50</f>
        <v>540</v>
      </c>
      <c r="E50" s="2"/>
      <c r="K50" s="4"/>
      <c r="L50" s="2"/>
    </row>
    <row r="51" spans="3:12" ht="12.75">
      <c r="C51" s="1"/>
      <c r="D51" s="1"/>
      <c r="E51" s="2"/>
      <c r="K51" s="4"/>
      <c r="L51" s="2"/>
    </row>
    <row r="52" spans="1:12" ht="12.75">
      <c r="A52" t="s">
        <v>7</v>
      </c>
      <c r="B52">
        <v>6</v>
      </c>
      <c r="C52" s="1">
        <v>36</v>
      </c>
      <c r="D52" s="1">
        <f>B52*C52</f>
        <v>216</v>
      </c>
      <c r="E52" s="2"/>
      <c r="K52" s="4"/>
      <c r="L52" s="2"/>
    </row>
    <row r="53" spans="2:12" ht="12.75">
      <c r="B53">
        <v>16</v>
      </c>
      <c r="C53" s="1">
        <v>18</v>
      </c>
      <c r="D53" s="1">
        <f>B53*C53</f>
        <v>288</v>
      </c>
      <c r="E53" s="2"/>
      <c r="K53" s="4"/>
      <c r="L53" s="2"/>
    </row>
    <row r="54" spans="3:12" ht="12.75">
      <c r="C54" s="1">
        <f>SUM(D52:D53)</f>
        <v>504</v>
      </c>
      <c r="E54" s="2"/>
      <c r="K54" s="4"/>
      <c r="L54" s="2"/>
    </row>
    <row r="55" spans="1:12" ht="12.75">
      <c r="A55" t="s">
        <v>8</v>
      </c>
      <c r="B55">
        <v>31</v>
      </c>
      <c r="C55" s="1">
        <v>18</v>
      </c>
      <c r="D55" s="1">
        <f>B55*C55</f>
        <v>558</v>
      </c>
      <c r="E55" s="2"/>
      <c r="K55" s="4"/>
      <c r="L55" s="2"/>
    </row>
    <row r="56" spans="3:12" ht="12.75">
      <c r="C56" s="1"/>
      <c r="D56" s="1"/>
      <c r="E56" s="2"/>
      <c r="K56" s="4"/>
      <c r="L56" s="2"/>
    </row>
    <row r="57" spans="1:12" ht="12.75">
      <c r="A57" t="s">
        <v>10</v>
      </c>
      <c r="B57">
        <v>6</v>
      </c>
      <c r="C57" s="1">
        <v>36</v>
      </c>
      <c r="D57" s="1">
        <f>B57*C57</f>
        <v>216</v>
      </c>
      <c r="E57" s="2"/>
      <c r="K57" s="4"/>
      <c r="L57" s="2"/>
    </row>
    <row r="58" spans="2:12" ht="12.75">
      <c r="B58">
        <v>2</v>
      </c>
      <c r="C58" s="1">
        <f>2*36</f>
        <v>72</v>
      </c>
      <c r="D58" s="1">
        <f>B58*C58</f>
        <v>144</v>
      </c>
      <c r="E58" s="2"/>
      <c r="K58" s="4"/>
      <c r="L58" s="2"/>
    </row>
    <row r="59" spans="3:12" ht="12.75">
      <c r="C59" s="1">
        <f>SUM(D57:D58)</f>
        <v>360</v>
      </c>
      <c r="E59" s="2"/>
      <c r="K59" s="4"/>
      <c r="L59" s="2"/>
    </row>
    <row r="60" spans="1:12" ht="12.75">
      <c r="A60" t="s">
        <v>49</v>
      </c>
      <c r="B60">
        <f>SUM(B36:B42)+SUM(B44:B45)</f>
        <v>50</v>
      </c>
      <c r="D60">
        <f>SUM(D36:D42)+SUM(D44:D45)</f>
        <v>2330</v>
      </c>
      <c r="E60" s="2"/>
      <c r="K60" s="4"/>
      <c r="L60" s="2"/>
    </row>
    <row r="61" spans="1:12" ht="12.75">
      <c r="A61" t="s">
        <v>50</v>
      </c>
      <c r="B61">
        <f>SUM(B47:B58)</f>
        <v>104</v>
      </c>
      <c r="C61" s="1"/>
      <c r="D61">
        <f>SUM(D47:D58)</f>
        <v>2412</v>
      </c>
      <c r="E61" s="2"/>
      <c r="K61" s="4"/>
      <c r="L61" s="2"/>
    </row>
    <row r="62" spans="1:12" ht="12.75">
      <c r="A62" t="s">
        <v>51</v>
      </c>
      <c r="B62">
        <f>SUM(B33:B34)</f>
        <v>24</v>
      </c>
      <c r="C62" s="1"/>
      <c r="D62">
        <f>SUM(D33:D34)</f>
        <v>872</v>
      </c>
      <c r="E62" s="2"/>
      <c r="K62" s="4"/>
      <c r="L62" s="2"/>
    </row>
    <row r="63" spans="1:12" ht="12.75">
      <c r="A63" t="s">
        <v>52</v>
      </c>
      <c r="B63">
        <v>2</v>
      </c>
      <c r="C63" s="1"/>
      <c r="D63" s="1">
        <v>200</v>
      </c>
      <c r="E63" s="2"/>
      <c r="K63" s="4"/>
      <c r="L63" s="2"/>
    </row>
    <row r="64" spans="1:12" ht="12.75">
      <c r="A64" t="s">
        <v>53</v>
      </c>
      <c r="B64">
        <v>23</v>
      </c>
      <c r="C64" s="1">
        <v>6</v>
      </c>
      <c r="D64" s="1">
        <f>B64*C64</f>
        <v>138</v>
      </c>
      <c r="E64" s="2"/>
      <c r="K64" s="4"/>
      <c r="L64" s="2"/>
    </row>
    <row r="65" spans="1:12" ht="12.75">
      <c r="A65" t="s">
        <v>54</v>
      </c>
      <c r="C65" s="1"/>
      <c r="D65" s="1">
        <f>2*750</f>
        <v>1500</v>
      </c>
      <c r="E65" s="2"/>
      <c r="K65" s="4"/>
      <c r="L65" s="2"/>
    </row>
    <row r="66" spans="1:12" ht="12.75">
      <c r="A66" t="s">
        <v>56</v>
      </c>
      <c r="C66" s="1"/>
      <c r="D66" s="1">
        <f>3450-2*750</f>
        <v>1950</v>
      </c>
      <c r="E66" s="2"/>
      <c r="K66" s="4"/>
      <c r="L66" s="2"/>
    </row>
    <row r="67" spans="1:12" ht="12.75">
      <c r="A67" t="s">
        <v>55</v>
      </c>
      <c r="C67" s="1"/>
      <c r="D67" s="1">
        <f>1104+368+3*110</f>
        <v>1802</v>
      </c>
      <c r="E67" s="2"/>
      <c r="K67" s="4"/>
      <c r="L67" s="2"/>
    </row>
    <row r="68" spans="1:12" ht="12.75">
      <c r="A68" t="s">
        <v>57</v>
      </c>
      <c r="C68" s="1"/>
      <c r="D68" s="1">
        <f>SUM(D60:D67)</f>
        <v>11204</v>
      </c>
      <c r="K68" s="4"/>
      <c r="L68" s="2"/>
    </row>
    <row r="69" spans="1:12" ht="12.75">
      <c r="A69" t="s">
        <v>58</v>
      </c>
      <c r="C69" s="1"/>
      <c r="D69" s="2">
        <f>0.8*D68*0.4*8*240/1000</f>
        <v>6883.737600000001</v>
      </c>
      <c r="E69" s="2"/>
      <c r="K69" s="4"/>
      <c r="L69" s="2"/>
    </row>
    <row r="70" spans="3:12" ht="12.75">
      <c r="C70" s="1"/>
      <c r="D70" s="1"/>
      <c r="E70" s="2"/>
      <c r="K70" s="4"/>
      <c r="L70" s="2"/>
    </row>
    <row r="71" spans="3:12" ht="12.75">
      <c r="C71" s="1"/>
      <c r="D71" s="1"/>
      <c r="E71" s="2"/>
      <c r="K71" s="4"/>
      <c r="L71" s="2"/>
    </row>
    <row r="72" spans="2:4" ht="12.75">
      <c r="B72" s="1"/>
      <c r="C72" s="1"/>
      <c r="D72" s="2"/>
    </row>
    <row r="73" spans="3:5" ht="12.75">
      <c r="C73" s="1"/>
      <c r="D73" s="1"/>
      <c r="E73" s="2"/>
    </row>
    <row r="74" spans="3:5" ht="12.75">
      <c r="C74" s="1"/>
      <c r="D74" s="1"/>
      <c r="E74" s="2"/>
    </row>
    <row r="75" spans="3:5" ht="12.75">
      <c r="C75" s="1"/>
      <c r="D75" s="1"/>
      <c r="E75" s="2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</dc:creator>
  <cp:keywords/>
  <dc:description/>
  <cp:lastModifiedBy>JMM</cp:lastModifiedBy>
  <dcterms:created xsi:type="dcterms:W3CDTF">2011-06-15T17:06:02Z</dcterms:created>
  <dcterms:modified xsi:type="dcterms:W3CDTF">2011-08-03T13:19:09Z</dcterms:modified>
  <cp:category/>
  <cp:version/>
  <cp:contentType/>
  <cp:contentStatus/>
</cp:coreProperties>
</file>